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eronica&amp;Mario\Desktop\magistrale\II anno\sismica\progetto\"/>
    </mc:Choice>
  </mc:AlternateContent>
  <bookViews>
    <workbookView xWindow="0" yWindow="0" windowWidth="16050" windowHeight="3540" activeTab="3"/>
  </bookViews>
  <sheets>
    <sheet name="CARICHI UNITARI" sheetId="3" r:id="rId1"/>
    <sheet name="masse" sheetId="1" r:id="rId2"/>
    <sheet name="Foglio5" sheetId="5" r:id="rId3"/>
    <sheet name="sollecitazioni" sheetId="2" r:id="rId4"/>
    <sheet name="Dimensionamento" sheetId="4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5" i="4" l="1"/>
  <c r="C33" i="4"/>
  <c r="C17" i="4"/>
  <c r="C16" i="4"/>
  <c r="E45" i="2"/>
  <c r="F28" i="4"/>
  <c r="E31" i="4" s="1"/>
  <c r="G31" i="4" s="1"/>
  <c r="C32" i="4"/>
  <c r="E16" i="4"/>
  <c r="G16" i="4" s="1"/>
  <c r="C8" i="1"/>
  <c r="B8" i="1"/>
  <c r="D45" i="2"/>
  <c r="F43" i="4" s="1"/>
  <c r="E41" i="2"/>
  <c r="C41" i="2"/>
  <c r="C45" i="2" s="1"/>
  <c r="B41" i="2"/>
  <c r="B45" i="2" s="1"/>
  <c r="E9" i="2"/>
  <c r="E10" i="2"/>
  <c r="E11" i="2"/>
  <c r="E8" i="2"/>
  <c r="D3" i="2"/>
  <c r="F48" i="4" l="1"/>
  <c r="F44" i="4"/>
  <c r="F47" i="4"/>
  <c r="F45" i="4"/>
  <c r="F46" i="4"/>
  <c r="B38" i="1"/>
  <c r="B37" i="1" s="1"/>
  <c r="B36" i="1" s="1"/>
  <c r="B35" i="1" s="1"/>
  <c r="B34" i="1" s="1"/>
  <c r="B12" i="1"/>
  <c r="B21" i="1" s="1"/>
  <c r="B22" i="1" s="1"/>
  <c r="C15" i="1"/>
  <c r="E9" i="1"/>
  <c r="E7" i="1"/>
  <c r="F7" i="1" s="1"/>
  <c r="E10" i="1"/>
  <c r="F10" i="1" s="1"/>
  <c r="E11" i="1"/>
  <c r="F11" i="1" s="1"/>
  <c r="E12" i="1"/>
  <c r="F12" i="1" s="1"/>
  <c r="E6" i="1"/>
  <c r="C33" i="1" s="1"/>
  <c r="C37" i="1" l="1"/>
  <c r="D37" i="1"/>
  <c r="F9" i="1"/>
  <c r="F8" i="1" s="1"/>
  <c r="E8" i="1"/>
  <c r="F6" i="1"/>
  <c r="E13" i="2"/>
  <c r="E12" i="2"/>
  <c r="C35" i="1"/>
  <c r="D35" i="1"/>
  <c r="C38" i="1"/>
  <c r="D38" i="1" s="1"/>
  <c r="C34" i="1"/>
  <c r="D34" i="1" s="1"/>
  <c r="C36" i="1"/>
  <c r="D36" i="1" s="1"/>
  <c r="F15" i="1"/>
  <c r="E15" i="1"/>
  <c r="B27" i="1" s="1"/>
  <c r="D40" i="1" l="1"/>
  <c r="E36" i="1" s="1"/>
  <c r="E34" i="1"/>
  <c r="E37" i="1"/>
  <c r="E35" i="1"/>
  <c r="E38" i="1" l="1"/>
  <c r="F35" i="1"/>
  <c r="F34" i="1"/>
  <c r="B8" i="2" s="1"/>
  <c r="C8" i="2" s="1"/>
  <c r="B29" i="2" s="1"/>
  <c r="B9" i="2" l="1"/>
  <c r="C9" i="2" s="1"/>
  <c r="F36" i="1"/>
  <c r="D8" i="2"/>
  <c r="F8" i="2"/>
  <c r="C29" i="2" l="1"/>
  <c r="G8" i="2"/>
  <c r="B10" i="2"/>
  <c r="C10" i="2" s="1"/>
  <c r="F37" i="1"/>
  <c r="D29" i="2"/>
  <c r="I29" i="2" s="1"/>
  <c r="C43" i="4" s="1"/>
  <c r="F18" i="2"/>
  <c r="C18" i="2" s="1"/>
  <c r="D9" i="2"/>
  <c r="F9" i="2"/>
  <c r="B30" i="2"/>
  <c r="F29" i="2" l="1"/>
  <c r="D30" i="2"/>
  <c r="I30" i="2" s="1"/>
  <c r="C44" i="4" s="1"/>
  <c r="G9" i="2"/>
  <c r="C30" i="2"/>
  <c r="B11" i="2"/>
  <c r="C11" i="2" s="1"/>
  <c r="F38" i="1"/>
  <c r="B12" i="2" s="1"/>
  <c r="B31" i="2"/>
  <c r="F10" i="2"/>
  <c r="F20" i="2" s="1"/>
  <c r="C20" i="2" s="1"/>
  <c r="D10" i="2"/>
  <c r="F19" i="2"/>
  <c r="C19" i="2" s="1"/>
  <c r="E29" i="2"/>
  <c r="J29" i="2" s="1"/>
  <c r="D43" i="4" s="1"/>
  <c r="G18" i="2"/>
  <c r="D18" i="2" s="1"/>
  <c r="F31" i="2" l="1"/>
  <c r="G10" i="2"/>
  <c r="C31" i="2"/>
  <c r="E30" i="2"/>
  <c r="J30" i="2" s="1"/>
  <c r="D44" i="4" s="1"/>
  <c r="F30" i="2"/>
  <c r="C12" i="2"/>
  <c r="B13" i="2"/>
  <c r="D11" i="2"/>
  <c r="B32" i="2"/>
  <c r="F11" i="2"/>
  <c r="F21" i="2" s="1"/>
  <c r="H18" i="2"/>
  <c r="G43" i="4" s="1"/>
  <c r="G29" i="2"/>
  <c r="D31" i="2"/>
  <c r="I31" i="2" s="1"/>
  <c r="C45" i="4" s="1"/>
  <c r="D32" i="2" l="1"/>
  <c r="I32" i="2" s="1"/>
  <c r="C46" i="4" s="1"/>
  <c r="B33" i="2"/>
  <c r="F12" i="2"/>
  <c r="C13" i="2"/>
  <c r="D12" i="2"/>
  <c r="F32" i="2"/>
  <c r="C21" i="2"/>
  <c r="C32" i="2"/>
  <c r="G11" i="2"/>
  <c r="G20" i="2" s="1"/>
  <c r="D20" i="2" s="1"/>
  <c r="E31" i="2"/>
  <c r="J31" i="2" s="1"/>
  <c r="D45" i="4" s="1"/>
  <c r="G19" i="2"/>
  <c r="D19" i="2" s="1"/>
  <c r="D33" i="2" l="1"/>
  <c r="I33" i="2" s="1"/>
  <c r="C47" i="4" s="1"/>
  <c r="C33" i="2"/>
  <c r="G12" i="2"/>
  <c r="D13" i="2"/>
  <c r="G31" i="2"/>
  <c r="E32" i="2"/>
  <c r="J32" i="2" s="1"/>
  <c r="D46" i="4" s="1"/>
  <c r="G21" i="2"/>
  <c r="H21" i="2" s="1"/>
  <c r="G46" i="4" s="1"/>
  <c r="G30" i="2"/>
  <c r="H20" i="2"/>
  <c r="G45" i="4" s="1"/>
  <c r="H19" i="2"/>
  <c r="G44" i="4" s="1"/>
  <c r="B34" i="2"/>
  <c r="F13" i="2"/>
  <c r="D34" i="2" s="1"/>
  <c r="I34" i="2" s="1"/>
  <c r="C48" i="4" s="1"/>
  <c r="F22" i="2"/>
  <c r="E33" i="2" l="1"/>
  <c r="D21" i="2"/>
  <c r="G32" i="2"/>
  <c r="F23" i="2"/>
  <c r="F33" i="2"/>
  <c r="C22" i="2"/>
  <c r="C34" i="2"/>
  <c r="G13" i="2"/>
  <c r="J33" i="2" l="1"/>
  <c r="D47" i="4" s="1"/>
  <c r="C23" i="2"/>
  <c r="F34" i="2"/>
  <c r="G23" i="2"/>
  <c r="E34" i="2"/>
  <c r="J34" i="2" s="1"/>
  <c r="D48" i="4" s="1"/>
  <c r="G22" i="2"/>
  <c r="G34" i="2" l="1"/>
  <c r="D23" i="2"/>
  <c r="G33" i="2"/>
  <c r="H23" i="2"/>
  <c r="G48" i="4" s="1"/>
  <c r="D22" i="2"/>
  <c r="H22" i="2"/>
  <c r="G47" i="4" s="1"/>
</calcChain>
</file>

<file path=xl/sharedStrings.xml><?xml version="1.0" encoding="utf-8"?>
<sst xmlns="http://schemas.openxmlformats.org/spreadsheetml/2006/main" count="135" uniqueCount="89">
  <si>
    <t>Impalcato</t>
  </si>
  <si>
    <t>Torrino</t>
  </si>
  <si>
    <t>Mansarda</t>
  </si>
  <si>
    <t>Area</t>
  </si>
  <si>
    <t>Peso unitario</t>
  </si>
  <si>
    <t>Peso Impalcato</t>
  </si>
  <si>
    <t>Massa</t>
  </si>
  <si>
    <t>tot</t>
  </si>
  <si>
    <t xml:space="preserve">                                                          (FORMULA DI NORMATIVA, VIA APPROSSIMATA)</t>
  </si>
  <si>
    <t>C1</t>
  </si>
  <si>
    <t>H</t>
  </si>
  <si>
    <t>T1</t>
  </si>
  <si>
    <t>Altezza</t>
  </si>
  <si>
    <t>Vb</t>
  </si>
  <si>
    <t>Sd(T1)_slv</t>
  </si>
  <si>
    <t>Peso Impalcato (W)</t>
  </si>
  <si>
    <t>w*z</t>
  </si>
  <si>
    <t>Forza al piano</t>
  </si>
  <si>
    <t>TOTALE</t>
  </si>
  <si>
    <t>Quota z</t>
  </si>
  <si>
    <t>Taglio</t>
  </si>
  <si>
    <t>IMPALCATI</t>
  </si>
  <si>
    <t>V_globale</t>
  </si>
  <si>
    <t>mansarda</t>
  </si>
  <si>
    <t>lungo x</t>
  </si>
  <si>
    <t>contributo 1</t>
  </si>
  <si>
    <t>contributo 0,7</t>
  </si>
  <si>
    <t>V_pilastro_1</t>
  </si>
  <si>
    <t>V_pilastro_0,7</t>
  </si>
  <si>
    <t>Braccio</t>
  </si>
  <si>
    <t>piede</t>
  </si>
  <si>
    <t>Momento pilastro_1</t>
  </si>
  <si>
    <t>Momento pilastro_0,7</t>
  </si>
  <si>
    <t>Momento Trave_1</t>
  </si>
  <si>
    <t>Momento Trave_0,7</t>
  </si>
  <si>
    <t>TRAVE</t>
  </si>
  <si>
    <t>V_trave_1</t>
  </si>
  <si>
    <t>V_trave_0,7</t>
  </si>
  <si>
    <t>L_trave</t>
  </si>
  <si>
    <t>ΔN PILASTRO</t>
  </si>
  <si>
    <t xml:space="preserve">                     INCREMENTO PER ECCENTRICITA' NEI TELAI PERIMETRALI     +20%</t>
  </si>
  <si>
    <t xml:space="preserve">           Gerarchia delle resistenze</t>
  </si>
  <si>
    <t>PILASTRI PIU' SOLLECITATI</t>
  </si>
  <si>
    <t>SOLAIO</t>
  </si>
  <si>
    <t>TAMPONATURA</t>
  </si>
  <si>
    <t>SBALZO</t>
  </si>
  <si>
    <t>SCALA</t>
  </si>
  <si>
    <t xml:space="preserve">PILASTRI </t>
  </si>
  <si>
    <t>CARICO TOTALE</t>
  </si>
  <si>
    <t>TRAVI</t>
  </si>
  <si>
    <t>Travi emergenti</t>
  </si>
  <si>
    <t>Momento per C.V</t>
  </si>
  <si>
    <t>Momento per sisma</t>
  </si>
  <si>
    <t>101 (perimestrale,senza sbalzo)</t>
  </si>
  <si>
    <t>109                                (di spina con scala)</t>
  </si>
  <si>
    <t>117                                                (perimetrale)</t>
  </si>
  <si>
    <t>105                (perimestrale, con sbalzo)</t>
  </si>
  <si>
    <t>Trave + caricata</t>
  </si>
  <si>
    <t>L</t>
  </si>
  <si>
    <t>carico verticale</t>
  </si>
  <si>
    <t>Momento_max_tot</t>
  </si>
  <si>
    <t>DATI</t>
  </si>
  <si>
    <t>b</t>
  </si>
  <si>
    <t>c</t>
  </si>
  <si>
    <t>f_ck</t>
  </si>
  <si>
    <t>d</t>
  </si>
  <si>
    <t>r</t>
  </si>
  <si>
    <t>SEZIONE</t>
  </si>
  <si>
    <t>Trave a spessore</t>
  </si>
  <si>
    <t>R_ck</t>
  </si>
  <si>
    <t>h</t>
  </si>
  <si>
    <t>grandezze geometriche</t>
  </si>
  <si>
    <t>sollecitazioni</t>
  </si>
  <si>
    <t>numerazione</t>
  </si>
  <si>
    <t>PILASTRI</t>
  </si>
  <si>
    <t>Peso solaio</t>
  </si>
  <si>
    <t>sforzo normale_min</t>
  </si>
  <si>
    <t>CALCOLO DELLE MASSE</t>
  </si>
  <si>
    <t xml:space="preserve">                    CALCOLO DEL PERIODO</t>
  </si>
  <si>
    <t xml:space="preserve">                                                </t>
  </si>
  <si>
    <t xml:space="preserve">                                   CALCOLO DEL TAGLIO ALLA BASE</t>
  </si>
  <si>
    <t xml:space="preserve">         FORZA AL PIANO</t>
  </si>
  <si>
    <t>sforzo normale_max</t>
  </si>
  <si>
    <t>Coppie M-N più gravose</t>
  </si>
  <si>
    <t>M</t>
  </si>
  <si>
    <t>N</t>
  </si>
  <si>
    <t>540.60</t>
  </si>
  <si>
    <t>Momento       Trave_1</t>
  </si>
  <si>
    <t>Momento        Trave_0,7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</si>
</sst>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2" borderId="0" xfId="0" applyFont="1" applyFill="1"/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1" fillId="0" borderId="0" xfId="0" applyFont="1" applyBorder="1" applyAlignment="1">
      <alignment horizontal="center" wrapText="1"/>
    </xf>
    <xf numFmtId="0" fontId="1" fillId="0" borderId="6" xfId="0" applyFont="1" applyBorder="1" applyAlignment="1">
      <alignment horizontal="center"/>
    </xf>
    <xf numFmtId="0" fontId="0" fillId="0" borderId="5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1" fillId="4" borderId="0" xfId="0" applyFont="1" applyFill="1"/>
    <xf numFmtId="0" fontId="0" fillId="0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1" fillId="8" borderId="0" xfId="0" applyFont="1" applyFill="1"/>
    <xf numFmtId="0" fontId="0" fillId="8" borderId="0" xfId="0" applyFill="1"/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13" xfId="0" applyBorder="1"/>
    <xf numFmtId="0" fontId="0" fillId="5" borderId="12" xfId="0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0" fontId="0" fillId="0" borderId="0" xfId="0" applyFill="1"/>
    <xf numFmtId="0" fontId="0" fillId="9" borderId="0" xfId="0" applyFill="1" applyAlignment="1">
      <alignment horizontal="center"/>
    </xf>
    <xf numFmtId="0" fontId="0" fillId="9" borderId="0" xfId="0" applyFill="1"/>
    <xf numFmtId="0" fontId="0" fillId="0" borderId="0" xfId="0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0" fillId="0" borderId="12" xfId="0" applyBorder="1" applyAlignment="1">
      <alignment horizontal="center" vertical="center" wrapText="1"/>
    </xf>
    <xf numFmtId="0" fontId="0" fillId="0" borderId="12" xfId="0" applyBorder="1"/>
    <xf numFmtId="0" fontId="2" fillId="0" borderId="0" xfId="0" applyFont="1"/>
    <xf numFmtId="0" fontId="2" fillId="0" borderId="0" xfId="0" applyFont="1" applyFill="1" applyAlignment="1">
      <alignment horizontal="center"/>
    </xf>
    <xf numFmtId="0" fontId="2" fillId="10" borderId="0" xfId="0" applyFont="1" applyFill="1"/>
    <xf numFmtId="0" fontId="0" fillId="10" borderId="0" xfId="0" applyFill="1"/>
    <xf numFmtId="0" fontId="2" fillId="6" borderId="0" xfId="0" applyFont="1" applyFill="1" applyAlignment="1">
      <alignment horizontal="center" vertical="top"/>
    </xf>
    <xf numFmtId="0" fontId="0" fillId="6" borderId="0" xfId="0" applyFill="1" applyAlignment="1">
      <alignment horizontal="center" wrapText="1"/>
    </xf>
    <xf numFmtId="0" fontId="0" fillId="12" borderId="0" xfId="0" applyFill="1" applyAlignment="1">
      <alignment horizontal="center"/>
    </xf>
    <xf numFmtId="0" fontId="2" fillId="11" borderId="0" xfId="0" applyFont="1" applyFill="1" applyAlignment="1">
      <alignment horizontal="center"/>
    </xf>
    <xf numFmtId="0" fontId="0" fillId="11" borderId="0" xfId="0" applyFill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2" fontId="0" fillId="14" borderId="6" xfId="0" applyNumberFormat="1" applyFill="1" applyBorder="1" applyAlignment="1">
      <alignment horizontal="center"/>
    </xf>
    <xf numFmtId="2" fontId="0" fillId="0" borderId="0" xfId="0" quotePrefix="1" applyNumberFormat="1" applyAlignment="1">
      <alignment horizontal="center"/>
    </xf>
    <xf numFmtId="0" fontId="0" fillId="0" borderId="1" xfId="0" applyBorder="1" applyAlignment="1">
      <alignment horizontal="center"/>
    </xf>
    <xf numFmtId="0" fontId="1" fillId="0" borderId="18" xfId="0" applyFont="1" applyBorder="1"/>
    <xf numFmtId="0" fontId="1" fillId="0" borderId="19" xfId="0" applyFont="1" applyBorder="1"/>
    <xf numFmtId="0" fontId="0" fillId="0" borderId="19" xfId="0" applyBorder="1"/>
    <xf numFmtId="2" fontId="0" fillId="0" borderId="19" xfId="0" applyNumberFormat="1" applyBorder="1" applyAlignment="1">
      <alignment horizontal="center"/>
    </xf>
    <xf numFmtId="4" fontId="0" fillId="0" borderId="19" xfId="0" applyNumberFormat="1" applyBorder="1" applyAlignment="1">
      <alignment horizontal="center"/>
    </xf>
    <xf numFmtId="2" fontId="0" fillId="0" borderId="20" xfId="0" applyNumberFormat="1" applyBorder="1" applyAlignment="1">
      <alignment horizontal="center"/>
    </xf>
    <xf numFmtId="0" fontId="0" fillId="0" borderId="17" xfId="0" applyBorder="1"/>
    <xf numFmtId="0" fontId="1" fillId="0" borderId="1" xfId="0" applyFont="1" applyBorder="1" applyAlignment="1">
      <alignment horizontal="left"/>
    </xf>
    <xf numFmtId="2" fontId="0" fillId="0" borderId="1" xfId="0" applyNumberFormat="1" applyBorder="1" applyAlignment="1">
      <alignment horizontal="center"/>
    </xf>
    <xf numFmtId="0" fontId="3" fillId="10" borderId="1" xfId="0" applyFont="1" applyFill="1" applyBorder="1" applyAlignment="1">
      <alignment horizontal="left" vertical="center" wrapText="1"/>
    </xf>
    <xf numFmtId="0" fontId="3" fillId="10" borderId="1" xfId="0" applyFont="1" applyFill="1" applyBorder="1"/>
    <xf numFmtId="0" fontId="3" fillId="5" borderId="1" xfId="0" applyFont="1" applyFill="1" applyBorder="1"/>
    <xf numFmtId="0" fontId="0" fillId="5" borderId="1" xfId="0" applyFill="1" applyBorder="1" applyAlignment="1">
      <alignment horizontal="center"/>
    </xf>
    <xf numFmtId="0" fontId="2" fillId="7" borderId="0" xfId="0" applyFont="1" applyFill="1" applyAlignment="1">
      <alignment horizontal="center"/>
    </xf>
    <xf numFmtId="0" fontId="0" fillId="7" borderId="0" xfId="0" applyFill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7" borderId="1" xfId="0" applyFont="1" applyFill="1" applyBorder="1"/>
    <xf numFmtId="0" fontId="4" fillId="7" borderId="1" xfId="0" applyFont="1" applyFill="1" applyBorder="1" applyAlignment="1">
      <alignment horizontal="center"/>
    </xf>
    <xf numFmtId="0" fontId="1" fillId="0" borderId="18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wrapText="1"/>
    </xf>
    <xf numFmtId="2" fontId="0" fillId="0" borderId="18" xfId="0" applyNumberForma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0" fillId="12" borderId="0" xfId="0" applyFill="1" applyAlignment="1">
      <alignment horizontal="left"/>
    </xf>
    <xf numFmtId="0" fontId="1" fillId="12" borderId="1" xfId="0" applyFont="1" applyFill="1" applyBorder="1" applyAlignment="1">
      <alignment horizontal="center" vertical="center"/>
    </xf>
    <xf numFmtId="0" fontId="1" fillId="12" borderId="1" xfId="0" applyFont="1" applyFill="1" applyBorder="1" applyAlignment="1">
      <alignment horizontal="center" wrapText="1"/>
    </xf>
    <xf numFmtId="0" fontId="0" fillId="12" borderId="0" xfId="0" applyFill="1"/>
    <xf numFmtId="0" fontId="1" fillId="13" borderId="0" xfId="0" applyFont="1" applyFill="1" applyAlignment="1">
      <alignment horizontal="center"/>
    </xf>
    <xf numFmtId="0" fontId="0" fillId="13" borderId="0" xfId="0" applyFill="1" applyAlignment="1">
      <alignment horizontal="center"/>
    </xf>
    <xf numFmtId="0" fontId="0" fillId="13" borderId="0" xfId="0" applyFill="1"/>
    <xf numFmtId="2" fontId="0" fillId="0" borderId="18" xfId="0" applyNumberFormat="1" applyBorder="1" applyAlignment="1">
      <alignment horizontal="center" vertical="center" wrapText="1"/>
    </xf>
    <xf numFmtId="0" fontId="0" fillId="1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13" borderId="1" xfId="0" applyFont="1" applyFill="1" applyBorder="1" applyAlignment="1">
      <alignment horizontal="center" vertical="center" wrapText="1"/>
    </xf>
    <xf numFmtId="0" fontId="1" fillId="13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1" fillId="3" borderId="0" xfId="0" applyFont="1" applyFill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7"/>
  <sheetViews>
    <sheetView workbookViewId="0">
      <selection activeCell="D8" sqref="D8"/>
    </sheetView>
  </sheetViews>
  <sheetFormatPr defaultRowHeight="15" x14ac:dyDescent="0.25"/>
  <cols>
    <col min="1" max="1" width="19.28515625" customWidth="1"/>
  </cols>
  <sheetData>
    <row r="3" spans="1:2" x14ac:dyDescent="0.25">
      <c r="A3" t="s">
        <v>43</v>
      </c>
      <c r="B3">
        <v>5.6</v>
      </c>
    </row>
    <row r="4" spans="1:2" x14ac:dyDescent="0.25">
      <c r="A4" t="s">
        <v>35</v>
      </c>
      <c r="B4">
        <v>4</v>
      </c>
    </row>
    <row r="5" spans="1:2" x14ac:dyDescent="0.25">
      <c r="A5" t="s">
        <v>44</v>
      </c>
      <c r="B5">
        <v>7</v>
      </c>
    </row>
    <row r="6" spans="1:2" x14ac:dyDescent="0.25">
      <c r="A6" t="s">
        <v>45</v>
      </c>
      <c r="B6">
        <v>6.4</v>
      </c>
    </row>
    <row r="7" spans="1:2" x14ac:dyDescent="0.25">
      <c r="A7" t="s">
        <v>46</v>
      </c>
      <c r="B7">
        <v>7.4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S206"/>
  <sheetViews>
    <sheetView topLeftCell="A10" zoomScale="85" zoomScaleNormal="85" workbookViewId="0">
      <selection activeCell="E31" sqref="E31"/>
    </sheetView>
  </sheetViews>
  <sheetFormatPr defaultRowHeight="15" x14ac:dyDescent="0.25"/>
  <cols>
    <col min="1" max="2" width="18.42578125" customWidth="1"/>
    <col min="3" max="3" width="18.5703125" customWidth="1"/>
    <col min="4" max="4" width="18.7109375" customWidth="1"/>
    <col min="5" max="5" width="18.28515625" customWidth="1"/>
    <col min="6" max="6" width="18.5703125" customWidth="1"/>
  </cols>
  <sheetData>
    <row r="2" spans="1:45" ht="23.25" x14ac:dyDescent="0.35">
      <c r="A2" s="62" t="s">
        <v>77</v>
      </c>
      <c r="B2" s="63"/>
      <c r="H2" s="81"/>
    </row>
    <row r="3" spans="1:45" ht="23.25" x14ac:dyDescent="0.35">
      <c r="A3" s="60"/>
    </row>
    <row r="4" spans="1:45" ht="18.75" x14ac:dyDescent="0.3">
      <c r="A4" s="84" t="s">
        <v>0</v>
      </c>
      <c r="B4" s="85" t="s">
        <v>12</v>
      </c>
      <c r="C4" s="85" t="s">
        <v>3</v>
      </c>
      <c r="D4" s="85" t="s">
        <v>4</v>
      </c>
      <c r="E4" s="85" t="s">
        <v>5</v>
      </c>
      <c r="F4" s="86" t="s">
        <v>6</v>
      </c>
    </row>
    <row r="5" spans="1:45" x14ac:dyDescent="0.25">
      <c r="A5" s="75"/>
      <c r="B5" s="76"/>
      <c r="C5" s="77"/>
      <c r="D5" s="77"/>
      <c r="E5" s="77"/>
      <c r="F5" s="77"/>
    </row>
    <row r="6" spans="1:45" x14ac:dyDescent="0.25">
      <c r="A6" s="70" t="s">
        <v>1</v>
      </c>
      <c r="B6" s="70"/>
      <c r="C6" s="78">
        <v>26</v>
      </c>
      <c r="D6" s="70">
        <v>8</v>
      </c>
      <c r="E6" s="78">
        <f>C6*D6</f>
        <v>208</v>
      </c>
      <c r="F6" s="78">
        <f>E6/9.81</f>
        <v>21.202854230377167</v>
      </c>
    </row>
    <row r="7" spans="1:45" x14ac:dyDescent="0.25">
      <c r="A7" s="70" t="s">
        <v>2</v>
      </c>
      <c r="B7" s="78">
        <v>2.2999999999999998</v>
      </c>
      <c r="C7" s="70">
        <v>270.16000000000003</v>
      </c>
      <c r="D7" s="70">
        <v>9</v>
      </c>
      <c r="E7" s="70">
        <f t="shared" ref="E7:E12" si="0">C7*D7</f>
        <v>2431.44</v>
      </c>
      <c r="F7" s="78">
        <f t="shared" ref="F7:F12" si="1">E7/9.81</f>
        <v>247.85321100917432</v>
      </c>
    </row>
    <row r="8" spans="1:45" x14ac:dyDescent="0.25">
      <c r="A8" s="70">
        <v>5</v>
      </c>
      <c r="B8" s="78">
        <f>B9</f>
        <v>3.3</v>
      </c>
      <c r="C8" s="79">
        <f>C9</f>
        <v>284.64</v>
      </c>
      <c r="D8" s="70">
        <v>10</v>
      </c>
      <c r="E8" s="78">
        <f>E9</f>
        <v>2846.3999999999996</v>
      </c>
      <c r="F8" s="78">
        <f>F9</f>
        <v>290.15290519877669</v>
      </c>
    </row>
    <row r="9" spans="1:45" x14ac:dyDescent="0.25">
      <c r="A9" s="70">
        <v>4</v>
      </c>
      <c r="B9" s="78">
        <v>3.3</v>
      </c>
      <c r="C9" s="79">
        <v>284.64</v>
      </c>
      <c r="D9" s="70">
        <v>10</v>
      </c>
      <c r="E9" s="78">
        <f>C9*D9</f>
        <v>2846.3999999999996</v>
      </c>
      <c r="F9" s="78">
        <f t="shared" si="1"/>
        <v>290.15290519877669</v>
      </c>
    </row>
    <row r="10" spans="1:45" x14ac:dyDescent="0.25">
      <c r="A10" s="70">
        <v>3</v>
      </c>
      <c r="B10" s="78">
        <v>3.3</v>
      </c>
      <c r="C10" s="79">
        <v>284.64</v>
      </c>
      <c r="D10" s="70">
        <v>10</v>
      </c>
      <c r="E10" s="78">
        <f t="shared" si="0"/>
        <v>2846.3999999999996</v>
      </c>
      <c r="F10" s="78">
        <f t="shared" si="1"/>
        <v>290.15290519877669</v>
      </c>
    </row>
    <row r="11" spans="1:45" x14ac:dyDescent="0.25">
      <c r="A11" s="70">
        <v>2</v>
      </c>
      <c r="B11" s="78">
        <v>3.3</v>
      </c>
      <c r="C11" s="79">
        <v>284.64</v>
      </c>
      <c r="D11" s="70">
        <v>10</v>
      </c>
      <c r="E11" s="78">
        <f t="shared" si="0"/>
        <v>2846.3999999999996</v>
      </c>
      <c r="F11" s="78">
        <f t="shared" si="1"/>
        <v>290.15290519877669</v>
      </c>
    </row>
    <row r="12" spans="1:45" x14ac:dyDescent="0.25">
      <c r="A12" s="70">
        <v>1</v>
      </c>
      <c r="B12" s="78">
        <f>3.3+0.5</f>
        <v>3.8</v>
      </c>
      <c r="C12" s="79">
        <v>284.64</v>
      </c>
      <c r="D12" s="70">
        <v>10</v>
      </c>
      <c r="E12" s="78">
        <f t="shared" si="0"/>
        <v>2846.3999999999996</v>
      </c>
      <c r="F12" s="78">
        <f t="shared" si="1"/>
        <v>290.15290519877669</v>
      </c>
    </row>
    <row r="13" spans="1:45" x14ac:dyDescent="0.25">
      <c r="A13" s="70"/>
      <c r="B13" s="70"/>
      <c r="C13" s="79"/>
      <c r="D13" s="70"/>
      <c r="E13" s="70"/>
      <c r="F13" s="78"/>
    </row>
    <row r="14" spans="1:45" x14ac:dyDescent="0.25">
      <c r="A14" s="70"/>
      <c r="B14" s="70"/>
      <c r="C14" s="79"/>
      <c r="D14" s="70"/>
      <c r="E14" s="70"/>
      <c r="F14" s="78"/>
    </row>
    <row r="15" spans="1:45" x14ac:dyDescent="0.25">
      <c r="A15" s="82" t="s">
        <v>18</v>
      </c>
      <c r="B15" s="82"/>
      <c r="C15" s="83">
        <f>SUM(C7:C13)</f>
        <v>1693.3599999999997</v>
      </c>
      <c r="D15" s="83"/>
      <c r="E15" s="83">
        <f>SUM(E7:E13)</f>
        <v>16663.439999999999</v>
      </c>
      <c r="F15" s="83">
        <f>SUM(F7:F13)</f>
        <v>1698.6177370030578</v>
      </c>
    </row>
    <row r="16" spans="1:45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</row>
    <row r="17" spans="1:45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</row>
    <row r="18" spans="1:45" ht="23.25" x14ac:dyDescent="0.25">
      <c r="A18" s="64" t="s">
        <v>78</v>
      </c>
      <c r="B18" s="65"/>
      <c r="C18" s="25" t="s">
        <v>8</v>
      </c>
      <c r="D18" s="25"/>
      <c r="E18" s="25"/>
      <c r="F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</row>
    <row r="19" spans="1:45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</row>
    <row r="20" spans="1:45" x14ac:dyDescent="0.25">
      <c r="A20" s="74" t="s">
        <v>9</v>
      </c>
      <c r="B20" s="48">
        <v>7.4999999999999997E-2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</row>
    <row r="21" spans="1:45" x14ac:dyDescent="0.25">
      <c r="A21" s="74" t="s">
        <v>10</v>
      </c>
      <c r="B21" s="19">
        <f>SUM(B7:B12)</f>
        <v>19.3</v>
      </c>
      <c r="C21" s="2"/>
      <c r="D21" s="25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</row>
    <row r="22" spans="1:45" x14ac:dyDescent="0.25">
      <c r="A22" s="87" t="s">
        <v>11</v>
      </c>
      <c r="B22" s="21">
        <f>B20*((B21)^(3/4))</f>
        <v>0.69060424755771865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</row>
    <row r="23" spans="1:45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</row>
    <row r="24" spans="1:45" ht="23.25" x14ac:dyDescent="0.35">
      <c r="A24" s="67" t="s">
        <v>80</v>
      </c>
      <c r="B24" s="68"/>
      <c r="C24" s="68"/>
      <c r="D24" s="7" t="s">
        <v>79</v>
      </c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</row>
    <row r="25" spans="1:45" s="53" customFormat="1" ht="23.25" x14ac:dyDescent="0.35">
      <c r="A25" s="61"/>
      <c r="B25" s="25"/>
      <c r="C25" s="25"/>
      <c r="D25" s="61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</row>
    <row r="26" spans="1:45" x14ac:dyDescent="0.25">
      <c r="A26" s="74" t="s">
        <v>14</v>
      </c>
      <c r="B26" s="69">
        <v>9.2999999999999999E-2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</row>
    <row r="27" spans="1:45" x14ac:dyDescent="0.25">
      <c r="A27" s="87" t="s">
        <v>13</v>
      </c>
      <c r="B27" s="80">
        <f>0.85*E15*B26</f>
        <v>1317.2449319999998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</row>
    <row r="28" spans="1:45" x14ac:dyDescent="0.25">
      <c r="A28" s="2"/>
      <c r="B28" s="3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</row>
    <row r="29" spans="1:45" ht="23.25" x14ac:dyDescent="0.35">
      <c r="A29" s="88" t="s">
        <v>81</v>
      </c>
      <c r="B29" s="89"/>
      <c r="C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</row>
    <row r="30" spans="1:45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</row>
    <row r="31" spans="1:45" x14ac:dyDescent="0.25">
      <c r="A31" s="90" t="s">
        <v>0</v>
      </c>
      <c r="B31" s="90" t="s">
        <v>19</v>
      </c>
      <c r="C31" s="91" t="s">
        <v>15</v>
      </c>
      <c r="D31" s="90" t="s">
        <v>16</v>
      </c>
      <c r="E31" s="92" t="s">
        <v>17</v>
      </c>
      <c r="F31" s="90" t="s">
        <v>20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</row>
    <row r="32" spans="1:45" x14ac:dyDescent="0.25">
      <c r="A32" s="76"/>
      <c r="B32" s="76"/>
      <c r="C32" s="77"/>
      <c r="D32" s="70"/>
      <c r="E32" s="70"/>
      <c r="F32" s="70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</row>
    <row r="33" spans="1:45" x14ac:dyDescent="0.25">
      <c r="A33" s="70" t="s">
        <v>1</v>
      </c>
      <c r="B33" s="70"/>
      <c r="C33" s="78">
        <f>E6</f>
        <v>208</v>
      </c>
      <c r="D33" s="70"/>
      <c r="E33" s="70"/>
      <c r="F33" s="70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</row>
    <row r="34" spans="1:45" x14ac:dyDescent="0.25">
      <c r="A34" s="70" t="s">
        <v>2</v>
      </c>
      <c r="B34" s="78">
        <f>B35+2.3</f>
        <v>16</v>
      </c>
      <c r="C34" s="78">
        <f>E7</f>
        <v>2431.44</v>
      </c>
      <c r="D34" s="70">
        <f>C34*B34</f>
        <v>38903.040000000001</v>
      </c>
      <c r="E34" s="78">
        <f>($D34/$D$40)*$B$27</f>
        <v>369.92656653454281</v>
      </c>
      <c r="F34" s="78">
        <f>E34</f>
        <v>369.92656653454281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</row>
    <row r="35" spans="1:45" x14ac:dyDescent="0.25">
      <c r="A35" s="70">
        <v>4</v>
      </c>
      <c r="B35" s="78">
        <f>B36+3.3</f>
        <v>13.7</v>
      </c>
      <c r="C35" s="78">
        <f t="shared" ref="C35:C38" si="2">E9</f>
        <v>2846.3999999999996</v>
      </c>
      <c r="D35" s="70">
        <f t="shared" ref="D35:D38" si="3">C35*B35</f>
        <v>38995.679999999993</v>
      </c>
      <c r="E35" s="78">
        <f>($D35/$D$40)*$B$27</f>
        <v>370.80747448219307</v>
      </c>
      <c r="F35" s="78">
        <f>E34+E35</f>
        <v>740.73404101673589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</row>
    <row r="36" spans="1:45" x14ac:dyDescent="0.25">
      <c r="A36" s="70">
        <v>3</v>
      </c>
      <c r="B36" s="78">
        <f>B37+3.3</f>
        <v>10.399999999999999</v>
      </c>
      <c r="C36" s="78">
        <f t="shared" si="2"/>
        <v>2846.3999999999996</v>
      </c>
      <c r="D36" s="70">
        <f t="shared" si="3"/>
        <v>29602.55999999999</v>
      </c>
      <c r="E36" s="78">
        <f>($D36/$D$40)*$B$27</f>
        <v>281.48888573830715</v>
      </c>
      <c r="F36" s="78">
        <f>F35+E36</f>
        <v>1022.2229267550431</v>
      </c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</row>
    <row r="37" spans="1:45" x14ac:dyDescent="0.25">
      <c r="A37" s="70">
        <v>2</v>
      </c>
      <c r="B37" s="78">
        <f>B38+3.3</f>
        <v>7.1</v>
      </c>
      <c r="C37" s="78">
        <f t="shared" si="2"/>
        <v>2846.3999999999996</v>
      </c>
      <c r="D37" s="70">
        <f t="shared" si="3"/>
        <v>20209.439999999995</v>
      </c>
      <c r="E37" s="78">
        <f>($D37/$D$40)*$B$27</f>
        <v>192.17029699442122</v>
      </c>
      <c r="F37" s="78">
        <f>F36+E37</f>
        <v>1214.3932237494644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</row>
    <row r="38" spans="1:45" x14ac:dyDescent="0.25">
      <c r="A38" s="70">
        <v>1</v>
      </c>
      <c r="B38" s="78">
        <f>3.3+0.5</f>
        <v>3.8</v>
      </c>
      <c r="C38" s="78">
        <f t="shared" si="2"/>
        <v>2846.3999999999996</v>
      </c>
      <c r="D38" s="70">
        <f t="shared" si="3"/>
        <v>10816.319999999998</v>
      </c>
      <c r="E38" s="78">
        <f>($D38/$D$40)*$B$27</f>
        <v>102.8517082505353</v>
      </c>
      <c r="F38" s="78">
        <f>F37+E38</f>
        <v>1317.2449319999996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</row>
    <row r="39" spans="1:45" x14ac:dyDescent="0.25">
      <c r="A39" s="70"/>
      <c r="B39" s="70"/>
      <c r="C39" s="70"/>
      <c r="D39" s="70"/>
      <c r="E39" s="70"/>
      <c r="F39" s="70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</row>
    <row r="40" spans="1:45" x14ac:dyDescent="0.25">
      <c r="A40" s="82" t="s">
        <v>18</v>
      </c>
      <c r="B40" s="74"/>
      <c r="C40" s="74"/>
      <c r="D40" s="74">
        <f>SUM(D34:D38)</f>
        <v>138527.04000000001</v>
      </c>
      <c r="E40" s="74"/>
      <c r="F40" s="74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</row>
    <row r="41" spans="1:45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</row>
    <row r="42" spans="1:45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</row>
    <row r="43" spans="1:45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</row>
    <row r="44" spans="1:45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</row>
    <row r="45" spans="1:45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</row>
    <row r="46" spans="1:45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</row>
    <row r="47" spans="1:45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</row>
    <row r="48" spans="1:45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</row>
    <row r="49" spans="1:45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</row>
    <row r="50" spans="1:45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</row>
    <row r="51" spans="1:45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</row>
    <row r="52" spans="1:45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</row>
    <row r="53" spans="1:45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</row>
    <row r="54" spans="1:45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</row>
    <row r="55" spans="1:45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</row>
    <row r="56" spans="1:45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</row>
    <row r="57" spans="1:45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</row>
    <row r="58" spans="1:45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</row>
    <row r="59" spans="1:45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</row>
    <row r="60" spans="1:45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</row>
    <row r="61" spans="1:45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</row>
    <row r="62" spans="1:45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</row>
    <row r="63" spans="1:45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</row>
    <row r="64" spans="1:45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</row>
    <row r="65" spans="1:45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</row>
    <row r="66" spans="1:45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</row>
    <row r="67" spans="1:45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</row>
    <row r="68" spans="1:45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</row>
    <row r="69" spans="1:45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</row>
    <row r="70" spans="1:45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</row>
    <row r="71" spans="1:45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</row>
    <row r="72" spans="1:45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</row>
    <row r="73" spans="1:45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</row>
    <row r="74" spans="1:45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</row>
    <row r="75" spans="1:45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</row>
    <row r="76" spans="1:45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</row>
    <row r="77" spans="1:45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</row>
    <row r="78" spans="1:45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</row>
    <row r="79" spans="1:45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</row>
    <row r="80" spans="1:45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</row>
    <row r="81" spans="1:45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</row>
    <row r="82" spans="1:45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</row>
    <row r="83" spans="1:45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</row>
    <row r="84" spans="1:45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</row>
    <row r="85" spans="1:45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</row>
    <row r="86" spans="1:45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</row>
    <row r="87" spans="1:45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</row>
    <row r="88" spans="1:45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</row>
    <row r="89" spans="1:45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</row>
    <row r="90" spans="1:45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</row>
    <row r="91" spans="1:45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</row>
    <row r="92" spans="1:45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</row>
    <row r="93" spans="1:45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</row>
    <row r="94" spans="1:45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</row>
    <row r="95" spans="1:45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</row>
    <row r="96" spans="1:45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</row>
    <row r="97" spans="1:45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</row>
    <row r="98" spans="1:45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</row>
    <row r="99" spans="1:45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</row>
    <row r="100" spans="1:45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</row>
    <row r="101" spans="1:45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</row>
    <row r="102" spans="1:45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</row>
    <row r="103" spans="1:45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</row>
    <row r="104" spans="1:45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</row>
    <row r="105" spans="1:45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</row>
    <row r="106" spans="1:45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</row>
    <row r="107" spans="1:45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</row>
    <row r="108" spans="1:45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</row>
    <row r="109" spans="1:45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</row>
    <row r="110" spans="1:45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</row>
    <row r="111" spans="1:45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</row>
    <row r="112" spans="1:45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</row>
    <row r="113" spans="1:45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</row>
    <row r="114" spans="1:45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</row>
    <row r="115" spans="1:45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</row>
    <row r="116" spans="1:45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</row>
    <row r="117" spans="1:45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</row>
    <row r="118" spans="1:45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</row>
    <row r="119" spans="1:45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</row>
    <row r="120" spans="1:45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</row>
    <row r="121" spans="1:45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</row>
    <row r="122" spans="1:45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</row>
    <row r="123" spans="1:45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</row>
    <row r="124" spans="1:45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</row>
    <row r="125" spans="1:45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</row>
    <row r="126" spans="1:45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</row>
    <row r="127" spans="1:45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</row>
    <row r="128" spans="1:45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</row>
    <row r="129" spans="1:45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</row>
    <row r="130" spans="1:45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</row>
    <row r="131" spans="1:45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</row>
    <row r="132" spans="1:45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</row>
    <row r="133" spans="1:45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</row>
    <row r="134" spans="1:45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</row>
    <row r="135" spans="1:45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</row>
    <row r="136" spans="1:45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</row>
    <row r="137" spans="1:45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</row>
    <row r="138" spans="1:45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</row>
    <row r="139" spans="1:45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</row>
    <row r="140" spans="1:45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</row>
    <row r="141" spans="1:45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</row>
    <row r="142" spans="1:45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</row>
    <row r="143" spans="1:45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</row>
    <row r="144" spans="1:45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</row>
    <row r="145" spans="1:45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</row>
    <row r="146" spans="1:45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</row>
    <row r="147" spans="1:45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</row>
    <row r="148" spans="1:45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</row>
    <row r="149" spans="1:45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</row>
    <row r="150" spans="1:45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</row>
    <row r="151" spans="1:45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</row>
    <row r="152" spans="1:45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</row>
    <row r="153" spans="1:45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</row>
    <row r="154" spans="1:45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</row>
    <row r="155" spans="1:45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</row>
    <row r="156" spans="1:45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</row>
    <row r="157" spans="1:45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</row>
    <row r="158" spans="1:45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</row>
    <row r="159" spans="1:45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</row>
    <row r="160" spans="1:45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</row>
    <row r="161" spans="1:45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</row>
    <row r="162" spans="1:45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</row>
    <row r="163" spans="1:45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</row>
    <row r="164" spans="1:45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</row>
    <row r="165" spans="1:45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</row>
    <row r="166" spans="1:45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</row>
    <row r="167" spans="1:45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</row>
    <row r="168" spans="1:45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</row>
    <row r="169" spans="1:45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</row>
    <row r="170" spans="1:45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</row>
    <row r="171" spans="1:45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</row>
    <row r="172" spans="1:45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</row>
    <row r="173" spans="1:45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</row>
    <row r="174" spans="1:45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</row>
    <row r="175" spans="1:45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</row>
    <row r="176" spans="1:45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</row>
    <row r="177" spans="1:45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</row>
    <row r="178" spans="1:45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</row>
    <row r="179" spans="1:45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</row>
    <row r="180" spans="1:45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</row>
    <row r="181" spans="1:45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</row>
    <row r="182" spans="1:45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</row>
    <row r="183" spans="1:45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</row>
    <row r="184" spans="1:45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</row>
    <row r="185" spans="1:45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</row>
    <row r="186" spans="1:45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</row>
    <row r="187" spans="1:45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</row>
    <row r="188" spans="1:45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</row>
    <row r="189" spans="1:45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</row>
    <row r="190" spans="1:45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</row>
    <row r="191" spans="1:45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</row>
    <row r="192" spans="1:45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</row>
    <row r="193" spans="1:45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</row>
    <row r="194" spans="1:45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</row>
    <row r="195" spans="1:45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</row>
    <row r="196" spans="1:45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</row>
    <row r="197" spans="1:45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</row>
    <row r="198" spans="1:45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</row>
    <row r="199" spans="1:45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</row>
    <row r="200" spans="1:45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</row>
    <row r="201" spans="1:45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</row>
    <row r="202" spans="1:45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</row>
    <row r="203" spans="1:45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</row>
    <row r="204" spans="1:45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</row>
    <row r="205" spans="1:45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</row>
    <row r="206" spans="1:45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45"/>
  <sheetViews>
    <sheetView tabSelected="1" topLeftCell="A10" workbookViewId="0">
      <selection activeCell="A14" sqref="A14"/>
    </sheetView>
  </sheetViews>
  <sheetFormatPr defaultRowHeight="15" x14ac:dyDescent="0.25"/>
  <cols>
    <col min="1" max="1" width="18.28515625" customWidth="1"/>
    <col min="2" max="2" width="18" customWidth="1"/>
    <col min="3" max="3" width="18.28515625" customWidth="1"/>
    <col min="4" max="4" width="18.42578125" customWidth="1"/>
    <col min="5" max="5" width="18.28515625" customWidth="1"/>
    <col min="6" max="7" width="18.42578125" customWidth="1"/>
    <col min="8" max="8" width="18.28515625" customWidth="1"/>
    <col min="9" max="9" width="18.140625" customWidth="1"/>
    <col min="10" max="10" width="18.42578125" customWidth="1"/>
  </cols>
  <sheetData>
    <row r="1" spans="1:18" x14ac:dyDescent="0.25">
      <c r="A1" t="s">
        <v>24</v>
      </c>
    </row>
    <row r="2" spans="1:18" x14ac:dyDescent="0.25">
      <c r="B2" t="s">
        <v>25</v>
      </c>
      <c r="C2" t="s">
        <v>26</v>
      </c>
      <c r="D2" t="s">
        <v>7</v>
      </c>
    </row>
    <row r="3" spans="1:18" x14ac:dyDescent="0.25">
      <c r="A3" s="5"/>
      <c r="B3" s="2">
        <v>6</v>
      </c>
      <c r="C3" s="2">
        <v>4</v>
      </c>
      <c r="D3" s="2">
        <f>B3+C3</f>
        <v>10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s="100" customFormat="1" x14ac:dyDescent="0.25">
      <c r="A4" s="97" t="s">
        <v>74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</row>
    <row r="5" spans="1:18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18" s="1" customFormat="1" ht="30" x14ac:dyDescent="0.25">
      <c r="A6" s="98" t="s">
        <v>21</v>
      </c>
      <c r="B6" s="98" t="s">
        <v>22</v>
      </c>
      <c r="C6" s="98" t="s">
        <v>27</v>
      </c>
      <c r="D6" s="98" t="s">
        <v>28</v>
      </c>
      <c r="E6" s="98" t="s">
        <v>29</v>
      </c>
      <c r="F6" s="99" t="s">
        <v>31</v>
      </c>
      <c r="G6" s="99" t="s">
        <v>32</v>
      </c>
      <c r="H6" s="8"/>
      <c r="I6" s="9"/>
      <c r="J6" s="6"/>
      <c r="K6" s="6"/>
      <c r="L6" s="6"/>
      <c r="M6" s="6"/>
      <c r="N6" s="6"/>
      <c r="O6" s="6"/>
      <c r="P6" s="6"/>
      <c r="Q6" s="6"/>
      <c r="R6" s="6"/>
    </row>
    <row r="7" spans="1:18" x14ac:dyDescent="0.25">
      <c r="A7" s="70"/>
      <c r="B7" s="70"/>
      <c r="C7" s="70"/>
      <c r="D7" s="70"/>
      <c r="E7" s="70"/>
      <c r="F7" s="96"/>
      <c r="G7" s="96"/>
      <c r="H7" s="2"/>
      <c r="I7" s="2"/>
      <c r="J7" s="2"/>
      <c r="K7" s="2"/>
      <c r="L7" s="2"/>
      <c r="M7" s="2"/>
      <c r="N7" s="2"/>
      <c r="O7" s="2"/>
      <c r="P7" s="2"/>
      <c r="Q7" s="2"/>
      <c r="R7" s="2"/>
    </row>
    <row r="8" spans="1:18" x14ac:dyDescent="0.25">
      <c r="A8" s="70" t="s">
        <v>23</v>
      </c>
      <c r="B8" s="78">
        <f>masse!F34</f>
        <v>369.92656653454281</v>
      </c>
      <c r="C8" s="78">
        <f>$B8/$D$3</f>
        <v>36.992656653454283</v>
      </c>
      <c r="D8" s="78">
        <f>$C8*0.7</f>
        <v>25.894859657417996</v>
      </c>
      <c r="E8" s="70">
        <f>0.5*masse!$B7</f>
        <v>1.1499999999999999</v>
      </c>
      <c r="F8" s="78">
        <f>$E8*$C8</f>
        <v>42.541555151472423</v>
      </c>
      <c r="G8" s="78">
        <f>$D8*$E8</f>
        <v>29.779088606030694</v>
      </c>
      <c r="H8" s="3"/>
      <c r="I8" s="3"/>
      <c r="J8" s="2"/>
      <c r="K8" s="2"/>
      <c r="L8" s="2"/>
      <c r="M8" s="2"/>
      <c r="N8" s="2"/>
      <c r="O8" s="2"/>
      <c r="P8" s="2"/>
      <c r="Q8" s="2"/>
      <c r="R8" s="2"/>
    </row>
    <row r="9" spans="1:18" x14ac:dyDescent="0.25">
      <c r="A9" s="70">
        <v>4</v>
      </c>
      <c r="B9" s="78">
        <f>masse!F35</f>
        <v>740.73404101673589</v>
      </c>
      <c r="C9" s="78">
        <f t="shared" ref="C9:C12" si="0">$B9/$D$3</f>
        <v>74.073404101673589</v>
      </c>
      <c r="D9" s="78">
        <f t="shared" ref="D9:D12" si="1">$C9*0.7</f>
        <v>51.851382871171509</v>
      </c>
      <c r="E9" s="70">
        <f>0.5*masse!$B9</f>
        <v>1.65</v>
      </c>
      <c r="F9" s="78">
        <f>$E9*$C9</f>
        <v>122.22111676776142</v>
      </c>
      <c r="G9" s="78">
        <f t="shared" ref="G9:G13" si="2">$D9*$E9</f>
        <v>85.55478173743299</v>
      </c>
      <c r="H9" s="3"/>
      <c r="I9" s="3"/>
      <c r="J9" s="2"/>
      <c r="K9" s="2"/>
      <c r="L9" s="2"/>
      <c r="M9" s="2"/>
      <c r="N9" s="2"/>
      <c r="O9" s="2"/>
      <c r="P9" s="2"/>
      <c r="Q9" s="2"/>
      <c r="R9" s="2"/>
    </row>
    <row r="10" spans="1:18" x14ac:dyDescent="0.25">
      <c r="A10" s="70">
        <v>3</v>
      </c>
      <c r="B10" s="78">
        <f>masse!F36</f>
        <v>1022.2229267550431</v>
      </c>
      <c r="C10" s="78">
        <f t="shared" si="0"/>
        <v>102.22229267550431</v>
      </c>
      <c r="D10" s="78">
        <f t="shared" si="1"/>
        <v>71.55560487285301</v>
      </c>
      <c r="E10" s="70">
        <f>0.5*masse!$B10</f>
        <v>1.65</v>
      </c>
      <c r="F10" s="78">
        <f t="shared" ref="F10:F13" si="3">$E10*$C10</f>
        <v>168.66678291458209</v>
      </c>
      <c r="G10" s="78">
        <f t="shared" si="2"/>
        <v>118.06674804020746</v>
      </c>
      <c r="H10" s="3"/>
      <c r="I10" s="3"/>
      <c r="J10" s="2"/>
      <c r="K10" s="2"/>
      <c r="L10" s="2"/>
      <c r="M10" s="2"/>
      <c r="N10" s="2"/>
      <c r="O10" s="2"/>
      <c r="P10" s="2"/>
      <c r="Q10" s="2"/>
      <c r="R10" s="2"/>
    </row>
    <row r="11" spans="1:18" x14ac:dyDescent="0.25">
      <c r="A11" s="70">
        <v>2</v>
      </c>
      <c r="B11" s="78">
        <f>masse!F37</f>
        <v>1214.3932237494644</v>
      </c>
      <c r="C11" s="78">
        <f t="shared" si="0"/>
        <v>121.43932237494644</v>
      </c>
      <c r="D11" s="78">
        <f t="shared" si="1"/>
        <v>85.007525662462498</v>
      </c>
      <c r="E11" s="70">
        <f>0.5*masse!$B11</f>
        <v>1.65</v>
      </c>
      <c r="F11" s="78">
        <f t="shared" si="3"/>
        <v>200.37488191866163</v>
      </c>
      <c r="G11" s="78">
        <f t="shared" si="2"/>
        <v>140.26241734306311</v>
      </c>
      <c r="H11" s="3"/>
      <c r="I11" s="3"/>
      <c r="J11" s="2"/>
      <c r="K11" s="2"/>
      <c r="L11" s="2"/>
      <c r="M11" s="2"/>
      <c r="N11" s="2"/>
      <c r="O11" s="2"/>
      <c r="P11" s="2"/>
      <c r="Q11" s="2"/>
      <c r="R11" s="2"/>
    </row>
    <row r="12" spans="1:18" x14ac:dyDescent="0.25">
      <c r="A12" s="70">
        <v>1</v>
      </c>
      <c r="B12" s="78">
        <f>masse!F38</f>
        <v>1317.2449319999996</v>
      </c>
      <c r="C12" s="78">
        <f t="shared" si="0"/>
        <v>131.72449319999996</v>
      </c>
      <c r="D12" s="78">
        <f t="shared" si="1"/>
        <v>92.20714523999996</v>
      </c>
      <c r="E12" s="70">
        <f>0.6*masse!$B12</f>
        <v>2.2799999999999998</v>
      </c>
      <c r="F12" s="78">
        <f t="shared" si="3"/>
        <v>300.33184449599986</v>
      </c>
      <c r="G12" s="78">
        <f t="shared" si="2"/>
        <v>210.2322911471999</v>
      </c>
      <c r="H12" s="3"/>
      <c r="I12" s="3"/>
      <c r="J12" s="2"/>
      <c r="K12" s="2"/>
      <c r="L12" s="2"/>
      <c r="M12" s="2"/>
      <c r="N12" s="2"/>
      <c r="O12" s="2"/>
      <c r="P12" s="2"/>
      <c r="Q12" s="2"/>
      <c r="R12" s="2"/>
    </row>
    <row r="13" spans="1:18" x14ac:dyDescent="0.25">
      <c r="A13" s="74" t="s">
        <v>30</v>
      </c>
      <c r="B13" s="83">
        <f>B12</f>
        <v>1317.2449319999996</v>
      </c>
      <c r="C13" s="83">
        <f t="shared" ref="C13:D13" si="4">C12</f>
        <v>131.72449319999996</v>
      </c>
      <c r="D13" s="83">
        <f t="shared" si="4"/>
        <v>92.20714523999996</v>
      </c>
      <c r="E13" s="83">
        <f>0.4*masse!B12</f>
        <v>1.52</v>
      </c>
      <c r="F13" s="83">
        <f t="shared" si="3"/>
        <v>200.22122966399994</v>
      </c>
      <c r="G13" s="83">
        <f t="shared" si="2"/>
        <v>140.15486076479993</v>
      </c>
      <c r="H13" s="3"/>
      <c r="I13" s="3"/>
      <c r="J13" s="2"/>
      <c r="K13" s="2"/>
      <c r="L13" s="2"/>
      <c r="M13" s="2"/>
      <c r="N13" s="2"/>
      <c r="O13" s="2"/>
      <c r="P13" s="2"/>
      <c r="Q13" s="2"/>
      <c r="R13" s="2"/>
    </row>
    <row r="14" spans="1:18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1:18" s="103" customFormat="1" x14ac:dyDescent="0.25">
      <c r="A15" s="101" t="s">
        <v>35</v>
      </c>
      <c r="B15" s="102"/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02"/>
    </row>
    <row r="16" spans="1:18" s="53" customFormat="1" x14ac:dyDescent="0.25">
      <c r="A16" s="108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</row>
    <row r="17" spans="1:51" ht="30" x14ac:dyDescent="0.25">
      <c r="A17" s="105"/>
      <c r="B17" s="105"/>
      <c r="C17" s="109" t="s">
        <v>36</v>
      </c>
      <c r="D17" s="110" t="s">
        <v>37</v>
      </c>
      <c r="E17" s="105"/>
      <c r="F17" s="109" t="s">
        <v>87</v>
      </c>
      <c r="G17" s="109" t="s">
        <v>88</v>
      </c>
      <c r="H17" s="110" t="s">
        <v>39</v>
      </c>
      <c r="I17" s="74" t="s">
        <v>38</v>
      </c>
      <c r="J17" s="2"/>
      <c r="K17" s="2"/>
      <c r="L17" s="2"/>
      <c r="M17" s="2"/>
      <c r="N17" s="2"/>
      <c r="O17" s="2"/>
      <c r="P17" s="2"/>
      <c r="Q17" s="2"/>
      <c r="R17" s="2"/>
    </row>
    <row r="18" spans="1:51" x14ac:dyDescent="0.25">
      <c r="A18" s="69" t="s">
        <v>23</v>
      </c>
      <c r="B18" s="69"/>
      <c r="C18" s="95">
        <f>(2*F18)/$I$18</f>
        <v>9.4536789225494271</v>
      </c>
      <c r="D18" s="95">
        <f>(2*G18)/$I$18</f>
        <v>6.6175752457845984</v>
      </c>
      <c r="E18" s="69"/>
      <c r="F18" s="104">
        <f>F8/2</f>
        <v>21.270777575736211</v>
      </c>
      <c r="G18" s="95">
        <f>G8/2</f>
        <v>14.889544303015347</v>
      </c>
      <c r="H18" s="95">
        <f>G18</f>
        <v>14.889544303015347</v>
      </c>
      <c r="I18" s="74">
        <v>4.5</v>
      </c>
      <c r="J18" s="2"/>
      <c r="K18" s="2"/>
      <c r="L18" s="2"/>
      <c r="M18" s="2"/>
      <c r="N18" s="2"/>
      <c r="O18" s="2"/>
      <c r="P18" s="2"/>
      <c r="Q18" s="2"/>
      <c r="R18" s="2"/>
    </row>
    <row r="19" spans="1:51" x14ac:dyDescent="0.25">
      <c r="A19" s="70">
        <v>4</v>
      </c>
      <c r="B19" s="70"/>
      <c r="C19" s="78">
        <f t="shared" ref="C19:C23" si="5">(2*F19)/$I$18</f>
        <v>36.613927093163078</v>
      </c>
      <c r="D19" s="78">
        <f t="shared" ref="D19:D23" si="6">(2*G19)/$I$18</f>
        <v>45.249228839475649</v>
      </c>
      <c r="E19" s="70"/>
      <c r="F19" s="78">
        <f>($F8+$F9)/2</f>
        <v>82.381335959616919</v>
      </c>
      <c r="G19" s="78">
        <f>($G9+$G10)/2</f>
        <v>101.81076488882022</v>
      </c>
      <c r="H19" s="78">
        <f>$G18+$G19</f>
        <v>116.70030919183556</v>
      </c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51" x14ac:dyDescent="0.25">
      <c r="A20" s="70">
        <v>3</v>
      </c>
      <c r="B20" s="70"/>
      <c r="C20" s="78">
        <f t="shared" si="5"/>
        <v>64.64175548496523</v>
      </c>
      <c r="D20" s="78">
        <f t="shared" si="6"/>
        <v>57.406481196282343</v>
      </c>
      <c r="E20" s="70"/>
      <c r="F20" s="78">
        <f>($F9+$F10)/2</f>
        <v>145.44394984117176</v>
      </c>
      <c r="G20" s="78">
        <f>($G10+$G11)/2</f>
        <v>129.16458269163527</v>
      </c>
      <c r="H20" s="78">
        <f t="shared" ref="H20:H22" si="7">$G19+$G20</f>
        <v>230.97534758045549</v>
      </c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51" x14ac:dyDescent="0.25">
      <c r="A21" s="70">
        <v>2</v>
      </c>
      <c r="B21" s="70"/>
      <c r="C21" s="78">
        <f t="shared" si="5"/>
        <v>82.00925885183193</v>
      </c>
      <c r="D21" s="78">
        <f t="shared" si="6"/>
        <v>77.887712997836218</v>
      </c>
      <c r="E21" s="70"/>
      <c r="F21" s="78">
        <f>($F10+$F11)/2</f>
        <v>184.52083241662186</v>
      </c>
      <c r="G21" s="78">
        <f>($G11+$G12)/2</f>
        <v>175.2473542451315</v>
      </c>
      <c r="H21" s="78">
        <f t="shared" si="7"/>
        <v>304.41193693676678</v>
      </c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51" x14ac:dyDescent="0.25">
      <c r="A22" s="70">
        <v>1</v>
      </c>
      <c r="B22" s="70"/>
      <c r="C22" s="78">
        <f t="shared" si="5"/>
        <v>111.26816142548033</v>
      </c>
      <c r="D22" s="78">
        <f t="shared" si="6"/>
        <v>77.863811535999957</v>
      </c>
      <c r="E22" s="70"/>
      <c r="F22" s="78">
        <f>($F11+$F12)/2</f>
        <v>250.35336320733074</v>
      </c>
      <c r="G22" s="78">
        <f>($G12+$G13)/2</f>
        <v>175.1935759559999</v>
      </c>
      <c r="H22" s="78">
        <f t="shared" si="7"/>
        <v>350.44093020113144</v>
      </c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51" s="53" customFormat="1" x14ac:dyDescent="0.25">
      <c r="A23" s="106" t="s">
        <v>30</v>
      </c>
      <c r="B23" s="106"/>
      <c r="C23" s="107">
        <f t="shared" si="5"/>
        <v>111.23401647999997</v>
      </c>
      <c r="D23" s="107">
        <f t="shared" si="6"/>
        <v>31.145524614399985</v>
      </c>
      <c r="E23" s="106"/>
      <c r="F23" s="107">
        <f>($F12+$F13)/2</f>
        <v>250.27653707999991</v>
      </c>
      <c r="G23" s="107">
        <f>($G13+$G14)/2</f>
        <v>70.077430382399967</v>
      </c>
      <c r="H23" s="107">
        <f>$G22+$G23</f>
        <v>245.27100633839987</v>
      </c>
      <c r="I23" s="25"/>
      <c r="J23" s="25"/>
      <c r="K23" s="25"/>
      <c r="L23" s="25"/>
      <c r="M23" s="25"/>
      <c r="N23" s="25"/>
      <c r="O23" s="25"/>
      <c r="P23" s="25"/>
      <c r="Q23" s="25"/>
      <c r="R23" s="25"/>
    </row>
    <row r="24" spans="1:5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5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51" s="10" customFormat="1" ht="30" x14ac:dyDescent="0.25">
      <c r="A26" s="111" t="s">
        <v>40</v>
      </c>
      <c r="B26" s="11"/>
      <c r="C26" s="11"/>
      <c r="D26" s="11"/>
      <c r="E26" s="11"/>
      <c r="F26" s="11"/>
      <c r="G26" s="12"/>
      <c r="H26" s="112" t="s">
        <v>41</v>
      </c>
      <c r="I26" s="22"/>
      <c r="J26" s="22"/>
      <c r="K26" s="22"/>
      <c r="L26" s="23"/>
      <c r="M26" s="23"/>
      <c r="N26" s="23"/>
      <c r="O26" s="23"/>
      <c r="P26" s="23"/>
      <c r="Q26" s="23"/>
      <c r="R26" s="23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</row>
    <row r="27" spans="1:51" x14ac:dyDescent="0.25">
      <c r="A27" s="13"/>
      <c r="B27" s="14"/>
      <c r="C27" s="14"/>
      <c r="D27" s="14"/>
      <c r="E27" s="14"/>
      <c r="F27" s="14"/>
      <c r="G27" s="15"/>
    </row>
    <row r="28" spans="1:51" ht="30" x14ac:dyDescent="0.25">
      <c r="A28" s="13"/>
      <c r="B28" s="93" t="s">
        <v>27</v>
      </c>
      <c r="C28" s="93" t="s">
        <v>28</v>
      </c>
      <c r="D28" s="94" t="s">
        <v>31</v>
      </c>
      <c r="E28" s="94" t="s">
        <v>32</v>
      </c>
      <c r="F28" s="93" t="s">
        <v>33</v>
      </c>
      <c r="G28" s="93" t="s">
        <v>34</v>
      </c>
      <c r="I28" s="16" t="s">
        <v>31</v>
      </c>
      <c r="J28" s="16" t="s">
        <v>32</v>
      </c>
    </row>
    <row r="29" spans="1:51" x14ac:dyDescent="0.25">
      <c r="A29" s="69" t="s">
        <v>23</v>
      </c>
      <c r="B29" s="95">
        <f>$C8*(1+0.2)</f>
        <v>44.391187984145141</v>
      </c>
      <c r="C29" s="95">
        <f>$D8*(1+0.2)</f>
        <v>31.073831588901594</v>
      </c>
      <c r="D29" s="95">
        <f>$F8*(1+0.2)</f>
        <v>51.049866181766909</v>
      </c>
      <c r="E29" s="95">
        <f>$G8*(1+0.2)</f>
        <v>35.734906327236828</v>
      </c>
      <c r="F29" s="95">
        <f>$F18*(1+0.2)</f>
        <v>25.524933090883454</v>
      </c>
      <c r="G29" s="95">
        <f>$G18*(1+0.2)</f>
        <v>17.867453163618414</v>
      </c>
      <c r="H29" s="18" t="s">
        <v>23</v>
      </c>
      <c r="I29" s="4">
        <f>$D29*1.5</f>
        <v>76.574799272650367</v>
      </c>
      <c r="J29" s="4">
        <f>$E29*1.5</f>
        <v>53.602359490855243</v>
      </c>
    </row>
    <row r="30" spans="1:51" x14ac:dyDescent="0.25">
      <c r="A30" s="70">
        <v>4</v>
      </c>
      <c r="B30" s="78">
        <f>$C9*(1+0.2)</f>
        <v>88.888084922008304</v>
      </c>
      <c r="C30" s="78">
        <f>$D9*(1+0.2)</f>
        <v>62.221659445405805</v>
      </c>
      <c r="D30" s="78">
        <f>$F9*(1+0.2)</f>
        <v>146.6653401213137</v>
      </c>
      <c r="E30" s="78">
        <f>$G9*(1+0.2)</f>
        <v>102.66573808491958</v>
      </c>
      <c r="F30" s="78">
        <f>$F19*(1+0.2)</f>
        <v>98.857603151540303</v>
      </c>
      <c r="G30" s="78">
        <f>$G19*(1+0.2)</f>
        <v>122.17291786658426</v>
      </c>
      <c r="H30" s="18">
        <v>4</v>
      </c>
      <c r="I30" s="4">
        <f>$D30*1.5</f>
        <v>219.99801018197056</v>
      </c>
      <c r="J30" s="4">
        <f>$E30*1.5</f>
        <v>153.99860712737939</v>
      </c>
    </row>
    <row r="31" spans="1:51" x14ac:dyDescent="0.25">
      <c r="A31" s="70">
        <v>3</v>
      </c>
      <c r="B31" s="78">
        <f>$C10*(1+0.2)</f>
        <v>122.66675121060516</v>
      </c>
      <c r="C31" s="78">
        <f>$D10*(1+0.2)</f>
        <v>85.866725847423609</v>
      </c>
      <c r="D31" s="78">
        <f>$F10*(1+0.2)</f>
        <v>202.40013949749849</v>
      </c>
      <c r="E31" s="78">
        <f>$G10*(1+0.2)</f>
        <v>141.68009764824893</v>
      </c>
      <c r="F31" s="78">
        <f>$F20*(1+0.2)</f>
        <v>174.53273980940611</v>
      </c>
      <c r="G31" s="78">
        <f>$G20*(1+0.2)</f>
        <v>154.99749922996233</v>
      </c>
      <c r="H31" s="18">
        <v>3</v>
      </c>
      <c r="I31" s="4">
        <f>$D31*1.5</f>
        <v>303.60020924624774</v>
      </c>
      <c r="J31" s="4">
        <f>$E31*1.5</f>
        <v>212.5201464723734</v>
      </c>
    </row>
    <row r="32" spans="1:51" x14ac:dyDescent="0.25">
      <c r="A32" s="70">
        <v>2</v>
      </c>
      <c r="B32" s="78">
        <f>$C11*(1+0.2)</f>
        <v>145.72718684993572</v>
      </c>
      <c r="C32" s="78">
        <f>$D11*(1+0.2)</f>
        <v>102.009030794955</v>
      </c>
      <c r="D32" s="78">
        <f>$F11*(1+0.2)</f>
        <v>240.44985830239395</v>
      </c>
      <c r="E32" s="78">
        <f>$G11*(1+0.2)</f>
        <v>168.31490081167573</v>
      </c>
      <c r="F32" s="78">
        <f>$F21*(1+0.2)</f>
        <v>221.42499889994622</v>
      </c>
      <c r="G32" s="78">
        <f>$G21*(1+0.2)</f>
        <v>210.29682509415781</v>
      </c>
      <c r="H32" s="18">
        <v>2</v>
      </c>
      <c r="I32" s="4">
        <f>$D32*1.5</f>
        <v>360.67478745359091</v>
      </c>
      <c r="J32" s="4">
        <f>$E32*1.5</f>
        <v>252.47235121751359</v>
      </c>
    </row>
    <row r="33" spans="1:10" x14ac:dyDescent="0.25">
      <c r="A33" s="70">
        <v>1</v>
      </c>
      <c r="B33" s="78">
        <f>$C12*(1+0.2)</f>
        <v>158.06939183999995</v>
      </c>
      <c r="C33" s="78">
        <f>$D12*(1+0.2)</f>
        <v>110.64857428799995</v>
      </c>
      <c r="D33" s="78">
        <f>$F12*(1+0.2)</f>
        <v>360.39821339519983</v>
      </c>
      <c r="E33" s="78">
        <f>$G12*(1+0.2)</f>
        <v>252.27874937663987</v>
      </c>
      <c r="F33" s="78">
        <f>$F22*(1+0.2)</f>
        <v>300.4240358487969</v>
      </c>
      <c r="G33" s="78">
        <f>$G22*(1+0.2)</f>
        <v>210.23229114719987</v>
      </c>
      <c r="H33" s="18">
        <v>1</v>
      </c>
      <c r="I33" s="4">
        <f>$D33*1.5</f>
        <v>540.59732009279969</v>
      </c>
      <c r="J33" s="4">
        <f>$E33*1.5</f>
        <v>378.41812406495978</v>
      </c>
    </row>
    <row r="34" spans="1:10" x14ac:dyDescent="0.25">
      <c r="A34" s="71" t="s">
        <v>30</v>
      </c>
      <c r="B34" s="80">
        <f>$C13*(1+0.2)</f>
        <v>158.06939183999995</v>
      </c>
      <c r="C34" s="80">
        <f>$D13*(1+0.2)</f>
        <v>110.64857428799995</v>
      </c>
      <c r="D34" s="80">
        <f>$F13*(1+0.2)</f>
        <v>240.26547559679992</v>
      </c>
      <c r="E34" s="80">
        <f>$G13*(1+0.2)</f>
        <v>168.18583291775991</v>
      </c>
      <c r="F34" s="80">
        <f t="shared" ref="F34" si="8">$F23*(1+0.2)</f>
        <v>300.33184449599986</v>
      </c>
      <c r="G34" s="80">
        <f t="shared" ref="G34" si="9">$G23*(1+0.2)</f>
        <v>84.092916458879955</v>
      </c>
      <c r="H34" s="20" t="s">
        <v>30</v>
      </c>
      <c r="I34" s="4">
        <f>$D34*1.5</f>
        <v>360.39821339519989</v>
      </c>
      <c r="J34" s="4">
        <f>$E34*1.5</f>
        <v>252.27874937663987</v>
      </c>
    </row>
    <row r="35" spans="1:10" x14ac:dyDescent="0.25">
      <c r="C35" s="4"/>
    </row>
    <row r="36" spans="1:10" x14ac:dyDescent="0.25">
      <c r="A36" s="1" t="s">
        <v>42</v>
      </c>
    </row>
    <row r="37" spans="1:10" ht="45" x14ac:dyDescent="0.25">
      <c r="A37" t="s">
        <v>47</v>
      </c>
      <c r="B37" s="27" t="s">
        <v>53</v>
      </c>
      <c r="C37" s="28" t="s">
        <v>56</v>
      </c>
      <c r="D37" s="28" t="s">
        <v>54</v>
      </c>
      <c r="E37" s="28" t="s">
        <v>55</v>
      </c>
      <c r="F37" s="2"/>
      <c r="G37" s="2"/>
      <c r="H37" s="2"/>
      <c r="I37" s="2"/>
      <c r="J37" s="2"/>
    </row>
    <row r="38" spans="1:10" x14ac:dyDescent="0.25">
      <c r="B38" s="2"/>
      <c r="C38" s="2"/>
      <c r="D38" s="2"/>
      <c r="E38" s="2"/>
      <c r="F38" s="2"/>
      <c r="G38" s="2"/>
      <c r="H38" s="2"/>
      <c r="I38" s="2"/>
      <c r="J38" s="2"/>
    </row>
    <row r="39" spans="1:10" x14ac:dyDescent="0.25">
      <c r="A39" t="s">
        <v>43</v>
      </c>
      <c r="B39" s="2">
        <v>3.6</v>
      </c>
      <c r="C39" s="2">
        <v>4.59</v>
      </c>
      <c r="D39" s="2">
        <v>12.09</v>
      </c>
      <c r="E39" s="2">
        <v>11.54</v>
      </c>
      <c r="F39" s="2"/>
      <c r="G39" s="2"/>
      <c r="H39" s="2"/>
      <c r="I39" s="2"/>
      <c r="J39" s="2"/>
    </row>
    <row r="40" spans="1:10" x14ac:dyDescent="0.25">
      <c r="A40" t="s">
        <v>35</v>
      </c>
      <c r="B40" s="2">
        <v>3.65</v>
      </c>
      <c r="C40" s="26"/>
      <c r="D40" s="2">
        <v>8.35</v>
      </c>
      <c r="E40" s="2">
        <v>7.4</v>
      </c>
      <c r="F40" s="2"/>
      <c r="G40" s="2"/>
      <c r="H40" s="2"/>
      <c r="I40" s="2"/>
      <c r="J40" s="2"/>
    </row>
    <row r="41" spans="1:10" x14ac:dyDescent="0.25">
      <c r="A41" t="s">
        <v>44</v>
      </c>
      <c r="B41" s="2">
        <f>B40</f>
        <v>3.65</v>
      </c>
      <c r="C41" s="2">
        <f>C40</f>
        <v>0</v>
      </c>
      <c r="D41" s="2">
        <v>0</v>
      </c>
      <c r="E41" s="2">
        <f>E40</f>
        <v>7.4</v>
      </c>
      <c r="F41" s="2"/>
      <c r="G41" s="2"/>
      <c r="H41" s="2"/>
      <c r="I41" s="2"/>
      <c r="J41" s="2"/>
    </row>
    <row r="42" spans="1:10" x14ac:dyDescent="0.25">
      <c r="A42" t="s">
        <v>45</v>
      </c>
      <c r="B42" s="2">
        <v>0</v>
      </c>
      <c r="C42" s="2">
        <v>3.95</v>
      </c>
      <c r="D42" s="2">
        <v>0</v>
      </c>
      <c r="E42" s="2">
        <v>0</v>
      </c>
      <c r="F42" s="2"/>
      <c r="G42" s="2"/>
      <c r="H42" s="2"/>
      <c r="I42" s="2"/>
      <c r="J42" s="2"/>
    </row>
    <row r="43" spans="1:10" x14ac:dyDescent="0.25">
      <c r="A43" t="s">
        <v>46</v>
      </c>
      <c r="B43" s="2">
        <v>0</v>
      </c>
      <c r="C43" s="2">
        <v>0</v>
      </c>
      <c r="D43" s="2">
        <v>4.83</v>
      </c>
      <c r="E43" s="2">
        <v>0</v>
      </c>
      <c r="F43" s="2"/>
      <c r="G43" s="2"/>
      <c r="H43" s="2"/>
      <c r="I43" s="2"/>
      <c r="J43" s="2"/>
    </row>
    <row r="44" spans="1:10" x14ac:dyDescent="0.25">
      <c r="B44" s="2"/>
      <c r="C44" s="2"/>
      <c r="D44" s="2"/>
      <c r="E44" s="2"/>
      <c r="F44" s="2"/>
      <c r="G44" s="2"/>
      <c r="H44" s="2"/>
      <c r="I44" s="2"/>
      <c r="J44" s="2"/>
    </row>
    <row r="45" spans="1:10" x14ac:dyDescent="0.25">
      <c r="A45" t="s">
        <v>48</v>
      </c>
      <c r="B45" s="2">
        <f>sollecitazioni!B$39*'CARICHI UNITARI'!$B$3+B$40*'CARICHI UNITARI'!$B$4+B$41*'CARICHI UNITARI'!$B$5+B$42*'CARICHI UNITARI'!$B$6+B$43*'CARICHI UNITARI'!$B$7</f>
        <v>60.31</v>
      </c>
      <c r="C45" s="2">
        <f>sollecitazioni!C$39*'CARICHI UNITARI'!$B$3+C$40*'CARICHI UNITARI'!$B$4+C$41*'CARICHI UNITARI'!$B$5+C$42*'CARICHI UNITARI'!$B$6+C$43*'CARICHI UNITARI'!$B$7</f>
        <v>50.983999999999995</v>
      </c>
      <c r="D45" s="2">
        <f>sollecitazioni!D$39*'CARICHI UNITARI'!$B$3+D$40*'CARICHI UNITARI'!$B$4+D$41*'CARICHI UNITARI'!$B$5+D$42*'CARICHI UNITARI'!$B$6+D$43*'CARICHI UNITARI'!$B$7</f>
        <v>136.846</v>
      </c>
      <c r="E45" s="2">
        <f>[1]Dimensionamento!$C$25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54"/>
  <sheetViews>
    <sheetView topLeftCell="A35" workbookViewId="0">
      <selection activeCell="J48" sqref="J48"/>
    </sheetView>
  </sheetViews>
  <sheetFormatPr defaultRowHeight="15" x14ac:dyDescent="0.25"/>
  <cols>
    <col min="1" max="1" width="0.140625" customWidth="1"/>
    <col min="2" max="4" width="18.140625" customWidth="1"/>
    <col min="5" max="7" width="18.42578125" customWidth="1"/>
    <col min="8" max="9" width="18.28515625" customWidth="1"/>
  </cols>
  <sheetData>
    <row r="1" spans="2:19" x14ac:dyDescent="0.25">
      <c r="B1" s="1" t="s">
        <v>61</v>
      </c>
      <c r="C1" s="1"/>
    </row>
    <row r="2" spans="2:19" x14ac:dyDescent="0.25">
      <c r="B2" s="2" t="s">
        <v>64</v>
      </c>
      <c r="C2" s="2" t="s">
        <v>69</v>
      </c>
      <c r="D2" s="2" t="s">
        <v>66</v>
      </c>
      <c r="I2" s="2" t="s">
        <v>63</v>
      </c>
    </row>
    <row r="3" spans="2:19" x14ac:dyDescent="0.25">
      <c r="B3" s="2">
        <v>25</v>
      </c>
      <c r="C3" s="2">
        <v>30</v>
      </c>
      <c r="D3" s="2">
        <v>1.7999999999999999E-2</v>
      </c>
      <c r="I3" s="2">
        <v>4</v>
      </c>
    </row>
    <row r="6" spans="2:19" s="30" customFormat="1" x14ac:dyDescent="0.25">
      <c r="B6" s="29" t="s">
        <v>49</v>
      </c>
      <c r="C6" s="29"/>
      <c r="D6" s="29"/>
    </row>
    <row r="7" spans="2:19" x14ac:dyDescent="0.25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2:19" x14ac:dyDescent="0.25">
      <c r="B8" s="2" t="s">
        <v>50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2:19" x14ac:dyDescent="0.25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2:19" x14ac:dyDescent="0.25">
      <c r="B10" s="6" t="s">
        <v>57</v>
      </c>
      <c r="C10" s="6" t="s">
        <v>73</v>
      </c>
      <c r="D10" s="6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2:19" ht="15.75" thickBot="1" x14ac:dyDescent="0.3">
      <c r="B11" s="6"/>
      <c r="C11" s="6"/>
      <c r="D11" s="6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2:19" ht="30.75" thickTop="1" x14ac:dyDescent="0.25">
      <c r="B12" s="31" t="s">
        <v>71</v>
      </c>
      <c r="C12" s="32"/>
      <c r="D12" s="6"/>
      <c r="E12" s="36" t="s">
        <v>72</v>
      </c>
      <c r="F12" s="37"/>
      <c r="G12" s="38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2:19" x14ac:dyDescent="0.25">
      <c r="B13" s="33" t="s">
        <v>58</v>
      </c>
      <c r="C13" s="17">
        <v>5</v>
      </c>
      <c r="E13" s="39" t="s">
        <v>59</v>
      </c>
      <c r="F13" s="14"/>
      <c r="G13" s="40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2:19" x14ac:dyDescent="0.25">
      <c r="B14" s="18" t="s">
        <v>62</v>
      </c>
      <c r="C14" s="34">
        <v>0.3</v>
      </c>
      <c r="E14" s="41">
        <v>33</v>
      </c>
      <c r="F14" s="14"/>
      <c r="G14" s="40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2:19" x14ac:dyDescent="0.25">
      <c r="B15" s="18" t="s">
        <v>63</v>
      </c>
      <c r="C15" s="34">
        <v>0.04</v>
      </c>
      <c r="D15" s="2"/>
      <c r="E15" s="42" t="s">
        <v>51</v>
      </c>
      <c r="F15" s="43" t="s">
        <v>52</v>
      </c>
      <c r="G15" s="44" t="s">
        <v>60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2:19" x14ac:dyDescent="0.25">
      <c r="B16" s="18" t="s">
        <v>65</v>
      </c>
      <c r="C16" s="19">
        <f>D3*(G16/C14)^0.5</f>
        <v>0.64272855856885636</v>
      </c>
      <c r="D16" s="2"/>
      <c r="E16" s="42">
        <f>(E14*C13^2)/10</f>
        <v>82.5</v>
      </c>
      <c r="F16" s="43">
        <v>300</v>
      </c>
      <c r="G16" s="44">
        <f>E16+F16</f>
        <v>382.5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2:19" ht="15.75" thickBot="1" x14ac:dyDescent="0.3">
      <c r="B17" s="20" t="s">
        <v>70</v>
      </c>
      <c r="C17" s="21">
        <f>C16+C15</f>
        <v>0.68272855856885639</v>
      </c>
      <c r="D17" s="2"/>
      <c r="E17" s="45"/>
      <c r="F17" s="46"/>
      <c r="G17" s="47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2:19" ht="15.75" thickTop="1" x14ac:dyDescent="0.25">
      <c r="B18" s="2"/>
      <c r="C18" s="2"/>
      <c r="D18" s="3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2:19" x14ac:dyDescent="0.25">
      <c r="B19" s="2"/>
      <c r="C19" s="2"/>
      <c r="D19" s="3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2:19" x14ac:dyDescent="0.25">
      <c r="B20" s="6" t="s">
        <v>67</v>
      </c>
      <c r="C20" s="6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2:19" x14ac:dyDescent="0.25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2:19" x14ac:dyDescent="0.25">
      <c r="B22" s="6" t="s">
        <v>68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</row>
    <row r="23" spans="2:19" x14ac:dyDescent="0.25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spans="2:19" x14ac:dyDescent="0.25">
      <c r="B24" s="6" t="s">
        <v>57</v>
      </c>
      <c r="C24" s="6" t="s">
        <v>73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spans="2:19" ht="15.75" thickBot="1" x14ac:dyDescent="0.3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spans="2:19" ht="30.75" thickTop="1" x14ac:dyDescent="0.25">
      <c r="B26" s="31" t="s">
        <v>71</v>
      </c>
      <c r="C26" s="48"/>
      <c r="D26" s="2"/>
      <c r="E26" s="36" t="s">
        <v>72</v>
      </c>
      <c r="F26" s="37"/>
      <c r="G26" s="38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2:19" x14ac:dyDescent="0.25">
      <c r="B27" s="57"/>
      <c r="C27" s="34"/>
      <c r="D27" s="2"/>
      <c r="E27" s="58" t="s">
        <v>75</v>
      </c>
      <c r="F27" s="43" t="s">
        <v>59</v>
      </c>
      <c r="G27" s="44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2:19" x14ac:dyDescent="0.25">
      <c r="B28" s="57"/>
      <c r="C28" s="34"/>
      <c r="D28" s="2"/>
      <c r="E28" s="58">
        <v>5.5</v>
      </c>
      <c r="F28" s="43">
        <f>E28*'CARICHI UNITARI'!B3</f>
        <v>30.799999999999997</v>
      </c>
      <c r="G28" s="44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spans="2:19" x14ac:dyDescent="0.25">
      <c r="B29" s="33" t="s">
        <v>58</v>
      </c>
      <c r="C29" s="17">
        <v>4.5</v>
      </c>
      <c r="E29" s="39"/>
      <c r="F29" s="14"/>
      <c r="G29" s="40"/>
      <c r="J29" s="56"/>
      <c r="K29" s="2"/>
      <c r="L29" s="2"/>
      <c r="M29" s="2"/>
      <c r="N29" s="2"/>
      <c r="O29" s="2"/>
      <c r="P29" s="2"/>
      <c r="Q29" s="2"/>
      <c r="R29" s="2"/>
      <c r="S29" s="2"/>
    </row>
    <row r="30" spans="2:19" x14ac:dyDescent="0.25">
      <c r="B30" s="18" t="s">
        <v>70</v>
      </c>
      <c r="C30" s="49">
        <v>0.22</v>
      </c>
      <c r="E30" s="42" t="s">
        <v>51</v>
      </c>
      <c r="F30" s="43" t="s">
        <v>52</v>
      </c>
      <c r="G30" s="44" t="s">
        <v>60</v>
      </c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2:19" x14ac:dyDescent="0.25">
      <c r="B31" s="50" t="s">
        <v>63</v>
      </c>
      <c r="C31" s="49">
        <v>0.04</v>
      </c>
      <c r="D31" s="2"/>
      <c r="E31" s="51">
        <f>(F28*C29^2)/10</f>
        <v>62.36999999999999</v>
      </c>
      <c r="F31" s="43">
        <v>300</v>
      </c>
      <c r="G31" s="52">
        <f>E31+F31</f>
        <v>362.37</v>
      </c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</row>
    <row r="32" spans="2:19" x14ac:dyDescent="0.25">
      <c r="B32" s="18" t="s">
        <v>65</v>
      </c>
      <c r="C32" s="34">
        <f>C30-C31</f>
        <v>0.18</v>
      </c>
      <c r="D32" s="2"/>
      <c r="E32" s="59"/>
      <c r="F32" s="14"/>
      <c r="G32" s="40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</row>
    <row r="33" spans="2:19" x14ac:dyDescent="0.25">
      <c r="B33" s="18" t="s">
        <v>62</v>
      </c>
      <c r="C33" s="72">
        <f>((D3^2)*G31)/(C32^2)</f>
        <v>3.6236999999999999</v>
      </c>
      <c r="D33" s="2"/>
      <c r="E33" s="42"/>
      <c r="F33" s="43"/>
      <c r="G33" s="44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spans="2:19" ht="15.75" thickBot="1" x14ac:dyDescent="0.3">
      <c r="B34" s="20"/>
      <c r="C34" s="35"/>
      <c r="D34" s="2"/>
      <c r="E34" s="45"/>
      <c r="F34" s="46"/>
      <c r="G34" s="47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2:19" ht="15.75" thickTop="1" x14ac:dyDescent="0.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spans="2:19" x14ac:dyDescent="0.25">
      <c r="B36" s="6" t="s">
        <v>67</v>
      </c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</row>
    <row r="37" spans="2:19" x14ac:dyDescent="0.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</row>
    <row r="38" spans="2:19" s="55" customFormat="1" x14ac:dyDescent="0.25">
      <c r="B38" s="54" t="s">
        <v>74</v>
      </c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</row>
    <row r="39" spans="2:19" x14ac:dyDescent="0.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</row>
    <row r="40" spans="2:19" x14ac:dyDescent="0.25">
      <c r="B40" s="1" t="s">
        <v>0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</row>
    <row r="41" spans="2:19" ht="30" x14ac:dyDescent="0.25">
      <c r="B41" s="1"/>
      <c r="C41" s="16" t="s">
        <v>31</v>
      </c>
      <c r="D41" s="16" t="s">
        <v>32</v>
      </c>
      <c r="E41" s="9" t="s">
        <v>76</v>
      </c>
      <c r="F41" s="8" t="s">
        <v>82</v>
      </c>
      <c r="G41" s="8" t="s">
        <v>39</v>
      </c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</row>
    <row r="42" spans="2:19" x14ac:dyDescent="0.25">
      <c r="B42" s="2" t="s">
        <v>1</v>
      </c>
      <c r="C42" s="3"/>
      <c r="D42" s="2"/>
      <c r="E42" s="2"/>
      <c r="F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</row>
    <row r="43" spans="2:19" ht="30" x14ac:dyDescent="0.25">
      <c r="B43" s="2" t="s">
        <v>2</v>
      </c>
      <c r="C43" s="3">
        <f>sollecitazioni!I29</f>
        <v>76.574799272650367</v>
      </c>
      <c r="D43" s="3">
        <f>sollecitazioni!J29</f>
        <v>53.602359490855243</v>
      </c>
      <c r="E43" s="2"/>
      <c r="F43" s="2">
        <f>(sollecitazioni!$D$45)*(1+0.1)</f>
        <v>150.53060000000002</v>
      </c>
      <c r="G43" s="73">
        <f>sollecitazioni!H18</f>
        <v>14.889544303015347</v>
      </c>
      <c r="H43" s="2"/>
      <c r="I43" s="28" t="s">
        <v>83</v>
      </c>
      <c r="J43" s="2"/>
      <c r="K43" s="2"/>
      <c r="L43" s="2"/>
      <c r="M43" s="2"/>
      <c r="N43" s="2"/>
      <c r="O43" s="2"/>
      <c r="P43" s="2"/>
      <c r="Q43" s="2"/>
      <c r="R43" s="2"/>
      <c r="S43" s="2"/>
    </row>
    <row r="44" spans="2:19" x14ac:dyDescent="0.25">
      <c r="B44" s="2">
        <v>5</v>
      </c>
      <c r="C44" s="3">
        <f>sollecitazioni!I30</f>
        <v>219.99801018197056</v>
      </c>
      <c r="D44" s="3">
        <f>sollecitazioni!J30</f>
        <v>153.99860712737939</v>
      </c>
      <c r="E44" s="2"/>
      <c r="F44" s="2">
        <f>F43*2</f>
        <v>301.06120000000004</v>
      </c>
      <c r="G44" s="3">
        <f>sollecitazioni!H19</f>
        <v>116.70030919183556</v>
      </c>
      <c r="H44" s="2"/>
      <c r="I44" s="2" t="s">
        <v>84</v>
      </c>
      <c r="J44" s="2" t="s">
        <v>86</v>
      </c>
      <c r="K44" s="2"/>
      <c r="L44" s="2"/>
      <c r="M44" s="2"/>
      <c r="N44" s="2"/>
      <c r="O44" s="2"/>
      <c r="P44" s="2"/>
      <c r="Q44" s="2"/>
      <c r="R44" s="2"/>
      <c r="S44" s="2"/>
    </row>
    <row r="45" spans="2:19" x14ac:dyDescent="0.25">
      <c r="B45" s="2">
        <v>4</v>
      </c>
      <c r="C45" s="3">
        <f>sollecitazioni!I31</f>
        <v>303.60020924624774</v>
      </c>
      <c r="D45" s="3">
        <f>sollecitazioni!J31</f>
        <v>212.5201464723734</v>
      </c>
      <c r="E45" s="2"/>
      <c r="F45" s="2">
        <f>F43*3</f>
        <v>451.59180000000003</v>
      </c>
      <c r="G45" s="3">
        <f>sollecitazioni!H20</f>
        <v>230.97534758045549</v>
      </c>
      <c r="H45" s="2"/>
      <c r="I45" s="2" t="s">
        <v>85</v>
      </c>
      <c r="J45" s="2">
        <f>540.6+245.27</f>
        <v>785.87</v>
      </c>
      <c r="K45" s="2"/>
      <c r="L45" s="2"/>
      <c r="M45" s="2"/>
      <c r="N45" s="2"/>
      <c r="O45" s="2"/>
      <c r="P45" s="2"/>
      <c r="Q45" s="2"/>
      <c r="R45" s="2"/>
      <c r="S45" s="2"/>
    </row>
    <row r="46" spans="2:19" x14ac:dyDescent="0.25">
      <c r="B46" s="2">
        <v>3</v>
      </c>
      <c r="C46" s="3">
        <f>sollecitazioni!I32</f>
        <v>360.67478745359091</v>
      </c>
      <c r="D46" s="3">
        <f>sollecitazioni!J32</f>
        <v>252.47235121751359</v>
      </c>
      <c r="E46" s="2"/>
      <c r="F46" s="2">
        <f>F43*4</f>
        <v>602.12240000000008</v>
      </c>
      <c r="G46" s="3">
        <f>sollecitazioni!H21</f>
        <v>304.41193693676678</v>
      </c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</row>
    <row r="47" spans="2:19" x14ac:dyDescent="0.25">
      <c r="B47" s="2">
        <v>2</v>
      </c>
      <c r="C47" s="3">
        <f>sollecitazioni!I33</f>
        <v>540.59732009279969</v>
      </c>
      <c r="D47" s="3">
        <f>sollecitazioni!J33</f>
        <v>378.41812406495978</v>
      </c>
      <c r="E47" s="2"/>
      <c r="F47" s="2">
        <f>F43*5</f>
        <v>752.65300000000013</v>
      </c>
      <c r="G47" s="3">
        <f>sollecitazioni!H22</f>
        <v>350.44093020113144</v>
      </c>
      <c r="H47" s="2"/>
      <c r="I47" s="2" t="s">
        <v>84</v>
      </c>
      <c r="J47" s="2">
        <v>360.67</v>
      </c>
      <c r="K47" s="2"/>
      <c r="L47" s="2"/>
      <c r="M47" s="2"/>
      <c r="N47" s="2"/>
      <c r="O47" s="2"/>
      <c r="P47" s="2"/>
      <c r="Q47" s="2"/>
      <c r="R47" s="2"/>
      <c r="S47" s="2"/>
    </row>
    <row r="48" spans="2:19" x14ac:dyDescent="0.25">
      <c r="B48" s="2">
        <v>1</v>
      </c>
      <c r="C48" s="3">
        <f>sollecitazioni!I34</f>
        <v>360.39821339519989</v>
      </c>
      <c r="D48" s="3">
        <f>sollecitazioni!J34</f>
        <v>252.27874937663987</v>
      </c>
      <c r="E48" s="2"/>
      <c r="F48" s="2">
        <f>F43*6</f>
        <v>903.18360000000007</v>
      </c>
      <c r="G48" s="3">
        <f>sollecitazioni!H23</f>
        <v>245.27100633839987</v>
      </c>
      <c r="H48" s="2"/>
      <c r="I48" s="2" t="s">
        <v>85</v>
      </c>
      <c r="J48" s="26">
        <v>-350.44</v>
      </c>
      <c r="K48" s="2"/>
      <c r="L48" s="2"/>
      <c r="M48" s="2"/>
      <c r="N48" s="2"/>
      <c r="O48" s="2"/>
      <c r="P48" s="2"/>
      <c r="Q48" s="2"/>
      <c r="R48" s="2"/>
      <c r="S48" s="2"/>
    </row>
    <row r="49" spans="2:19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</row>
    <row r="50" spans="2:19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</row>
    <row r="51" spans="2:19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</row>
    <row r="52" spans="2:19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</row>
    <row r="53" spans="2:19" x14ac:dyDescent="0.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</row>
    <row r="54" spans="2:19" x14ac:dyDescent="0.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CARICHI UNITARI</vt:lpstr>
      <vt:lpstr>masse</vt:lpstr>
      <vt:lpstr>Foglio5</vt:lpstr>
      <vt:lpstr>sollecitazioni</vt:lpstr>
      <vt:lpstr>Dimensionamento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Veronica&amp;Mario</dc:creator>
  <cp:lastModifiedBy>Veronica&amp;Mario</cp:lastModifiedBy>
  <dcterms:created xsi:type="dcterms:W3CDTF">2016-11-14T07:24:29Z</dcterms:created>
  <dcterms:modified xsi:type="dcterms:W3CDTF">2016-11-15T13:19:06Z</dcterms:modified>
</cp:coreProperties>
</file>